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1 pag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<sst xmlns="http://schemas.openxmlformats.org/spreadsheetml/2006/main" count="52" uniqueCount="38">
  <si>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As of Feb. 1, 2004</t>
  </si>
  <si>
    <t>Refusals</t>
  </si>
  <si>
    <t>Revocations</t>
  </si>
  <si>
    <t>Preliminary Refusals + Revocations</t>
  </si>
  <si>
    <t>REASONS:</t>
  </si>
  <si>
    <t>AB</t>
  </si>
  <si>
    <t>BC</t>
  </si>
  <si>
    <t>MB</t>
  </si>
  <si>
    <t>NB</t>
  </si>
  <si>
    <t>NF &amp; LAB.</t>
  </si>
  <si>
    <t>NS</t>
  </si>
  <si>
    <t>NT</t>
  </si>
  <si>
    <t>NU</t>
  </si>
  <si>
    <t>ON</t>
  </si>
  <si>
    <t>PE</t>
  </si>
  <si>
    <t>QC</t>
  </si>
  <si>
    <t>SK</t>
  </si>
  <si>
    <t>YT</t>
  </si>
  <si>
    <t>TOTALS</t>
  </si>
  <si>
    <t>GRAND TOTALS</t>
  </si>
  <si>
    <t>%</t>
  </si>
  <si>
    <t>Mental Health</t>
  </si>
  <si>
    <t>Potential Risk to Self - Others</t>
  </si>
  <si>
    <t>Violent</t>
  </si>
  <si>
    <t>Unsafe Firearms use &amp; storage</t>
  </si>
  <si>
    <t>Drug Offences</t>
  </si>
  <si>
    <t>Provided False Info.</t>
  </si>
  <si>
    <t>Prohibition</t>
  </si>
  <si>
    <t>Probation</t>
  </si>
  <si>
    <t>Spousal Concern</t>
  </si>
  <si>
    <t>FIP</t>
  </si>
  <si>
    <t>Public Safety</t>
  </si>
  <si>
    <t>Total</t>
  </si>
  <si>
    <t>* This document representing the numbers and reasons firearms were refused</t>
  </si>
  <si>
    <t>and revoked does not include the month of December 2003.  Therefore, the grand total</t>
  </si>
  <si>
    <t>of 12,054 differs from the number reported in the annual report on page 10, paragraph 2.</t>
  </si>
  <si>
    <t>*  12054</t>
  </si>
  <si>
    <t>CFC File: A-2004-0049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</si>
</sst>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 indent="2"/>
    </xf>
    <xf numFmtId="0" fontId="1" fillId="0" borderId="4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10" fontId="1" fillId="4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4" fillId="3" borderId="7" xfId="0" applyFont="1" applyFill="1" applyBorder="1" applyAlignment="1">
      <alignment horizontal="center"/>
    </xf>
    <xf numFmtId="9" fontId="0" fillId="4" borderId="8" xfId="0" applyNumberFormat="1" applyFill="1" applyBorder="1" applyAlignment="1">
      <alignment/>
    </xf>
    <xf numFmtId="9" fontId="1" fillId="4" borderId="9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3.421875" style="0" customWidth="1"/>
    <col min="2" max="2" width="6.00390625" style="0" customWidth="1"/>
    <col min="3" max="3" width="6.28125" style="0" customWidth="1"/>
    <col min="4" max="4" width="5.8515625" style="0" customWidth="1"/>
    <col min="5" max="5" width="6.00390625" style="0" customWidth="1"/>
    <col min="6" max="6" width="5.8515625" style="0" customWidth="1"/>
    <col min="7" max="7" width="5.28125" style="0" customWidth="1"/>
    <col min="8" max="8" width="5.421875" style="0" customWidth="1"/>
    <col min="9" max="9" width="5.00390625" style="0" customWidth="1"/>
    <col min="10" max="10" width="6.57421875" style="0" customWidth="1"/>
    <col min="11" max="11" width="5.57421875" style="0" customWidth="1"/>
    <col min="12" max="12" width="6.00390625" style="0" customWidth="1"/>
    <col min="13" max="13" width="5.140625" style="0" customWidth="1"/>
    <col min="14" max="14" width="5.57421875" style="0" customWidth="1"/>
    <col min="15" max="15" width="8.8515625" style="0" customWidth="1"/>
    <col min="16" max="16" width="5.28125" style="0" customWidth="1"/>
    <col min="17" max="17" width="6.28125" style="0" customWidth="1"/>
    <col min="18" max="18" width="5.421875" style="0" customWidth="1"/>
    <col min="19" max="19" width="5.28125" style="0" customWidth="1"/>
    <col min="20" max="20" width="6.421875" style="0" customWidth="1"/>
    <col min="21" max="21" width="5.7109375" style="0" customWidth="1"/>
    <col min="22" max="22" width="5.57421875" style="0" customWidth="1"/>
    <col min="23" max="23" width="5.8515625" style="0" customWidth="1"/>
    <col min="24" max="24" width="6.57421875" style="0" customWidth="1"/>
    <col min="25" max="25" width="5.421875" style="0" customWidth="1"/>
    <col min="26" max="26" width="5.8515625" style="0" customWidth="1"/>
    <col min="27" max="27" width="5.00390625" style="0" customWidth="1"/>
    <col min="28" max="28" width="5.57421875" style="0" customWidth="1"/>
    <col min="29" max="29" width="12.140625" style="0" customWidth="1"/>
    <col min="30" max="30" width="12.57421875" style="0" customWidth="1"/>
  </cols>
  <sheetData>
    <row r="1" ht="12.75">
      <c r="A1" s="12" t="s">
        <v>37</v>
      </c>
    </row>
    <row r="2" spans="1:33" ht="39.75" customHeight="1" thickBot="1">
      <c r="A2" t="s">
        <v>0</v>
      </c>
      <c r="O2" s="1" t="s">
        <v>1</v>
      </c>
      <c r="P2" s="2"/>
      <c r="AC2" s="1" t="s">
        <v>2</v>
      </c>
      <c r="AD2" s="15" t="s">
        <v>3</v>
      </c>
      <c r="AE2" s="3"/>
      <c r="AF2" s="3"/>
      <c r="AG2" s="4"/>
    </row>
    <row r="3" spans="1:32" ht="26.25">
      <c r="A3" s="22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5</v>
      </c>
      <c r="Q3" s="16" t="s">
        <v>6</v>
      </c>
      <c r="R3" s="16" t="s">
        <v>7</v>
      </c>
      <c r="S3" s="16" t="s">
        <v>8</v>
      </c>
      <c r="T3" s="17" t="s">
        <v>9</v>
      </c>
      <c r="U3" s="16" t="s">
        <v>10</v>
      </c>
      <c r="V3" s="16" t="s">
        <v>11</v>
      </c>
      <c r="W3" s="16" t="s">
        <v>12</v>
      </c>
      <c r="X3" s="16" t="s">
        <v>13</v>
      </c>
      <c r="Y3" s="16" t="s">
        <v>14</v>
      </c>
      <c r="Z3" s="16" t="s">
        <v>15</v>
      </c>
      <c r="AA3" s="16" t="s">
        <v>16</v>
      </c>
      <c r="AB3" s="16" t="s">
        <v>17</v>
      </c>
      <c r="AC3" s="16" t="s">
        <v>18</v>
      </c>
      <c r="AD3" s="18" t="s">
        <v>19</v>
      </c>
      <c r="AE3" s="19" t="s">
        <v>20</v>
      </c>
      <c r="AF3" s="5"/>
    </row>
    <row r="4" spans="1:31" ht="12.75">
      <c r="A4" s="8" t="s">
        <v>21</v>
      </c>
      <c r="B4" s="6">
        <v>1</v>
      </c>
      <c r="C4" s="6">
        <f>32+5</f>
        <v>37</v>
      </c>
      <c r="D4" s="6">
        <v>7</v>
      </c>
      <c r="E4" s="6">
        <v>5</v>
      </c>
      <c r="F4" s="6">
        <v>2</v>
      </c>
      <c r="G4" s="6">
        <v>6</v>
      </c>
      <c r="H4" s="6">
        <v>1</v>
      </c>
      <c r="I4" s="6">
        <v>0</v>
      </c>
      <c r="J4" s="6">
        <f>140+4</f>
        <v>144</v>
      </c>
      <c r="K4" s="6">
        <v>0</v>
      </c>
      <c r="L4" s="6">
        <f>29+33+32+24</f>
        <v>118</v>
      </c>
      <c r="M4" s="6">
        <v>3</v>
      </c>
      <c r="N4" s="6">
        <v>1</v>
      </c>
      <c r="O4" s="20">
        <f>SUM(B4:N4)</f>
        <v>325</v>
      </c>
      <c r="P4" s="6">
        <f>6+6</f>
        <v>12</v>
      </c>
      <c r="Q4" s="6">
        <f>26+14</f>
        <v>40</v>
      </c>
      <c r="R4" s="6">
        <f>19+0</f>
        <v>19</v>
      </c>
      <c r="S4" s="6">
        <f>7+0</f>
        <v>7</v>
      </c>
      <c r="T4" s="6">
        <f>4+1</f>
        <v>5</v>
      </c>
      <c r="U4" s="6">
        <f>16+4</f>
        <v>20</v>
      </c>
      <c r="V4" s="6">
        <f>0+0</f>
        <v>0</v>
      </c>
      <c r="W4" s="6">
        <f>0+0</f>
        <v>0</v>
      </c>
      <c r="X4" s="6">
        <f>111+15</f>
        <v>126</v>
      </c>
      <c r="Y4" s="6">
        <v>1</v>
      </c>
      <c r="Z4" s="6">
        <f>5+1+30+3</f>
        <v>39</v>
      </c>
      <c r="AA4" s="7">
        <f>2+2</f>
        <v>4</v>
      </c>
      <c r="AB4" s="6">
        <v>2</v>
      </c>
      <c r="AC4" s="20">
        <f>SUM(P4:AB4)</f>
        <v>275</v>
      </c>
      <c r="AD4" s="21">
        <v>600</v>
      </c>
      <c r="AE4" s="23">
        <v>0.049776007964161276</v>
      </c>
    </row>
    <row r="5" spans="1:31" ht="12.75">
      <c r="A5" s="8" t="s">
        <v>22</v>
      </c>
      <c r="B5" s="6">
        <v>2</v>
      </c>
      <c r="C5" s="6">
        <f>22+5</f>
        <v>27</v>
      </c>
      <c r="D5" s="6">
        <v>12</v>
      </c>
      <c r="E5" s="6">
        <v>9</v>
      </c>
      <c r="F5" s="6">
        <v>0</v>
      </c>
      <c r="G5" s="6">
        <v>0</v>
      </c>
      <c r="H5" s="6">
        <v>4</v>
      </c>
      <c r="I5" s="6">
        <v>0</v>
      </c>
      <c r="J5" s="6">
        <f>74+3</f>
        <v>77</v>
      </c>
      <c r="K5" s="6">
        <v>3</v>
      </c>
      <c r="L5" s="6">
        <f>34+37+55+43</f>
        <v>169</v>
      </c>
      <c r="M5" s="6">
        <v>4</v>
      </c>
      <c r="N5" s="6">
        <v>0</v>
      </c>
      <c r="O5" s="20">
        <f aca="true" t="shared" si="0" ref="O5:O14">SUM(B5:N5)</f>
        <v>307</v>
      </c>
      <c r="P5" s="6">
        <f>47+12</f>
        <v>59</v>
      </c>
      <c r="Q5" s="6">
        <f>75+25</f>
        <v>100</v>
      </c>
      <c r="R5" s="6">
        <f>32+8</f>
        <v>40</v>
      </c>
      <c r="S5" s="6">
        <f>4+8</f>
        <v>12</v>
      </c>
      <c r="T5" s="6">
        <f>28+2</f>
        <v>30</v>
      </c>
      <c r="U5" s="6">
        <f>9+12</f>
        <v>21</v>
      </c>
      <c r="V5" s="6">
        <f>1+2</f>
        <v>3</v>
      </c>
      <c r="W5" s="6">
        <f>3+0</f>
        <v>3</v>
      </c>
      <c r="X5" s="6">
        <f>187+46</f>
        <v>233</v>
      </c>
      <c r="Y5" s="6">
        <v>1</v>
      </c>
      <c r="Z5" s="6">
        <f>17+16+42+1</f>
        <v>76</v>
      </c>
      <c r="AA5" s="7">
        <f>21+0</f>
        <v>21</v>
      </c>
      <c r="AB5" s="6">
        <v>2</v>
      </c>
      <c r="AC5" s="20">
        <f aca="true" t="shared" si="1" ref="AC5:AC14">SUM(P5:AB5)</f>
        <v>601</v>
      </c>
      <c r="AD5" s="21">
        <v>908</v>
      </c>
      <c r="AE5" s="23">
        <v>0.07532769205243073</v>
      </c>
    </row>
    <row r="6" spans="1:31" ht="12.75">
      <c r="A6" s="8" t="s">
        <v>23</v>
      </c>
      <c r="B6" s="6">
        <v>45</v>
      </c>
      <c r="C6" s="6">
        <f>232+17</f>
        <v>249</v>
      </c>
      <c r="D6" s="6">
        <v>97</v>
      </c>
      <c r="E6" s="6">
        <v>30</v>
      </c>
      <c r="F6" s="6">
        <v>9</v>
      </c>
      <c r="G6" s="6">
        <v>139</v>
      </c>
      <c r="H6" s="6">
        <v>75</v>
      </c>
      <c r="I6" s="6">
        <v>5</v>
      </c>
      <c r="J6" s="6">
        <f>813+23</f>
        <v>836</v>
      </c>
      <c r="K6" s="6">
        <v>6</v>
      </c>
      <c r="L6" s="6">
        <f>119+114+253+112</f>
        <v>598</v>
      </c>
      <c r="M6" s="6">
        <v>23</v>
      </c>
      <c r="N6" s="6">
        <v>6</v>
      </c>
      <c r="O6" s="20">
        <f t="shared" si="0"/>
        <v>2118</v>
      </c>
      <c r="P6" s="6">
        <f>92+16</f>
        <v>108</v>
      </c>
      <c r="Q6" s="6">
        <f>169+29</f>
        <v>198</v>
      </c>
      <c r="R6" s="6">
        <f>89+22</f>
        <v>111</v>
      </c>
      <c r="S6" s="6">
        <f>25+22</f>
        <v>47</v>
      </c>
      <c r="T6" s="6">
        <f>39+5</f>
        <v>44</v>
      </c>
      <c r="U6" s="6">
        <f>68+16</f>
        <v>84</v>
      </c>
      <c r="V6" s="6">
        <f>10+3</f>
        <v>13</v>
      </c>
      <c r="W6" s="6">
        <f>9+2</f>
        <v>11</v>
      </c>
      <c r="X6" s="6">
        <f>673+168</f>
        <v>841</v>
      </c>
      <c r="Y6" s="6">
        <v>4</v>
      </c>
      <c r="Z6" s="6">
        <f>31+17+85+3</f>
        <v>136</v>
      </c>
      <c r="AA6" s="7">
        <f>33+7</f>
        <v>40</v>
      </c>
      <c r="AB6" s="6">
        <v>7</v>
      </c>
      <c r="AC6" s="20">
        <f t="shared" si="1"/>
        <v>1644</v>
      </c>
      <c r="AD6" s="21">
        <v>3762</v>
      </c>
      <c r="AE6" s="23">
        <v>0.3120955699352912</v>
      </c>
    </row>
    <row r="7" spans="1:31" ht="12.75">
      <c r="A7" s="8" t="s">
        <v>24</v>
      </c>
      <c r="B7" s="6">
        <v>126</v>
      </c>
      <c r="C7" s="6">
        <f>74+5</f>
        <v>79</v>
      </c>
      <c r="D7" s="6">
        <v>28</v>
      </c>
      <c r="E7" s="6">
        <v>7</v>
      </c>
      <c r="F7" s="6">
        <v>1</v>
      </c>
      <c r="G7" s="6">
        <v>9</v>
      </c>
      <c r="H7" s="6">
        <v>16</v>
      </c>
      <c r="I7" s="6">
        <v>1</v>
      </c>
      <c r="J7" s="6">
        <f>215+6</f>
        <v>221</v>
      </c>
      <c r="K7" s="6">
        <v>0</v>
      </c>
      <c r="L7" s="6">
        <f>51+82+130+30</f>
        <v>293</v>
      </c>
      <c r="M7" s="6">
        <v>2</v>
      </c>
      <c r="N7" s="6">
        <v>7</v>
      </c>
      <c r="O7" s="20">
        <f t="shared" si="0"/>
        <v>790</v>
      </c>
      <c r="P7" s="6">
        <f>16+13</f>
        <v>29</v>
      </c>
      <c r="Q7" s="6">
        <f>18+7</f>
        <v>25</v>
      </c>
      <c r="R7" s="6">
        <f>13+4</f>
        <v>17</v>
      </c>
      <c r="S7" s="6">
        <f>4+4</f>
        <v>8</v>
      </c>
      <c r="T7" s="6">
        <f>7+2</f>
        <v>9</v>
      </c>
      <c r="U7" s="6">
        <f>9+59</f>
        <v>68</v>
      </c>
      <c r="V7" s="6">
        <f>1+1</f>
        <v>2</v>
      </c>
      <c r="W7" s="6">
        <f>0+0</f>
        <v>0</v>
      </c>
      <c r="X7" s="6">
        <f>118+36</f>
        <v>154</v>
      </c>
      <c r="Y7" s="6">
        <v>1</v>
      </c>
      <c r="Z7" s="6">
        <f>4+4+2+2</f>
        <v>12</v>
      </c>
      <c r="AA7" s="7">
        <f>9+6</f>
        <v>15</v>
      </c>
      <c r="AB7" s="6">
        <v>5</v>
      </c>
      <c r="AC7" s="20">
        <f t="shared" si="1"/>
        <v>345</v>
      </c>
      <c r="AD7" s="21">
        <v>1135</v>
      </c>
      <c r="AE7" s="23">
        <v>0.09415961506553841</v>
      </c>
    </row>
    <row r="8" spans="1:31" ht="12.75">
      <c r="A8" s="8" t="s">
        <v>25</v>
      </c>
      <c r="B8" s="6">
        <v>14</v>
      </c>
      <c r="C8" s="6">
        <f>73+3</f>
        <v>76</v>
      </c>
      <c r="D8" s="6">
        <v>18</v>
      </c>
      <c r="E8" s="6">
        <v>14</v>
      </c>
      <c r="F8" s="6">
        <v>6</v>
      </c>
      <c r="G8" s="6">
        <v>26</v>
      </c>
      <c r="H8" s="6">
        <v>1</v>
      </c>
      <c r="I8" s="6">
        <v>2</v>
      </c>
      <c r="J8" s="6">
        <f>98+5</f>
        <v>103</v>
      </c>
      <c r="K8" s="6">
        <v>0</v>
      </c>
      <c r="L8" s="6">
        <f>53+46+178+120</f>
        <v>397</v>
      </c>
      <c r="M8" s="6">
        <v>4</v>
      </c>
      <c r="N8" s="6">
        <v>1</v>
      </c>
      <c r="O8" s="20">
        <f t="shared" si="0"/>
        <v>662</v>
      </c>
      <c r="P8" s="6">
        <f>25+10</f>
        <v>35</v>
      </c>
      <c r="Q8" s="6">
        <f>27+9</f>
        <v>36</v>
      </c>
      <c r="R8" s="6">
        <f>11+3</f>
        <v>14</v>
      </c>
      <c r="S8" s="6">
        <f>1+3</f>
        <v>4</v>
      </c>
      <c r="T8" s="6">
        <f>1+1</f>
        <v>2</v>
      </c>
      <c r="U8" s="6">
        <f>12+7</f>
        <v>19</v>
      </c>
      <c r="V8" s="6">
        <v>0</v>
      </c>
      <c r="W8" s="6">
        <f>2+0</f>
        <v>2</v>
      </c>
      <c r="X8" s="6">
        <f>60+14</f>
        <v>74</v>
      </c>
      <c r="Y8" s="6">
        <v>0</v>
      </c>
      <c r="Z8" s="6">
        <f>7+7+18+4</f>
        <v>36</v>
      </c>
      <c r="AA8" s="7">
        <f>4+2</f>
        <v>6</v>
      </c>
      <c r="AB8" s="6">
        <v>0</v>
      </c>
      <c r="AC8" s="20">
        <f t="shared" si="1"/>
        <v>228</v>
      </c>
      <c r="AD8" s="21">
        <v>890</v>
      </c>
      <c r="AE8" s="23">
        <v>0.07383441181350589</v>
      </c>
    </row>
    <row r="9" spans="1:31" ht="12.75">
      <c r="A9" s="8" t="s">
        <v>26</v>
      </c>
      <c r="B9" s="6">
        <v>3</v>
      </c>
      <c r="C9" s="6">
        <f>19+0</f>
        <v>19</v>
      </c>
      <c r="D9" s="6">
        <v>0</v>
      </c>
      <c r="E9" s="6">
        <v>0</v>
      </c>
      <c r="F9" s="6">
        <v>3</v>
      </c>
      <c r="G9" s="6">
        <v>0</v>
      </c>
      <c r="H9" s="6">
        <v>16</v>
      </c>
      <c r="I9" s="6">
        <v>0</v>
      </c>
      <c r="J9" s="6">
        <f>82+4</f>
        <v>86</v>
      </c>
      <c r="K9" s="6">
        <v>1</v>
      </c>
      <c r="L9" s="6">
        <f>5+10+21+4</f>
        <v>40</v>
      </c>
      <c r="M9" s="6">
        <v>3</v>
      </c>
      <c r="N9" s="6">
        <v>0</v>
      </c>
      <c r="O9" s="20">
        <f t="shared" si="0"/>
        <v>171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9+0</f>
        <v>9</v>
      </c>
      <c r="Y9" s="6">
        <v>0</v>
      </c>
      <c r="Z9" s="6">
        <f>0+0+1+0</f>
        <v>1</v>
      </c>
      <c r="AA9" s="7">
        <v>0</v>
      </c>
      <c r="AB9" s="6">
        <v>0</v>
      </c>
      <c r="AC9" s="20">
        <f t="shared" si="1"/>
        <v>12</v>
      </c>
      <c r="AD9" s="21">
        <v>183</v>
      </c>
      <c r="AE9" s="23">
        <v>0.015181682429069188</v>
      </c>
    </row>
    <row r="10" spans="1:31" ht="12.75">
      <c r="A10" s="8" t="s">
        <v>27</v>
      </c>
      <c r="B10" s="6">
        <v>96</v>
      </c>
      <c r="C10" s="6">
        <f>102+2</f>
        <v>104</v>
      </c>
      <c r="D10" s="6">
        <v>33</v>
      </c>
      <c r="E10" s="6">
        <v>64</v>
      </c>
      <c r="F10" s="6">
        <v>14</v>
      </c>
      <c r="G10" s="6">
        <v>7</v>
      </c>
      <c r="H10" s="6">
        <v>16</v>
      </c>
      <c r="I10" s="6">
        <v>22</v>
      </c>
      <c r="J10" s="6">
        <f>185+5</f>
        <v>190</v>
      </c>
      <c r="K10" s="6">
        <v>7</v>
      </c>
      <c r="L10" s="6">
        <f>97+168+111+311</f>
        <v>687</v>
      </c>
      <c r="M10" s="6">
        <v>53</v>
      </c>
      <c r="N10" s="6">
        <v>0</v>
      </c>
      <c r="O10" s="20">
        <f t="shared" si="0"/>
        <v>1293</v>
      </c>
      <c r="P10" s="6">
        <f>44+3</f>
        <v>47</v>
      </c>
      <c r="Q10" s="6">
        <f>143+8</f>
        <v>151</v>
      </c>
      <c r="R10" s="6">
        <f>26+9</f>
        <v>35</v>
      </c>
      <c r="S10" s="6">
        <f>34+9</f>
        <v>43</v>
      </c>
      <c r="T10" s="6">
        <f>38+1</f>
        <v>39</v>
      </c>
      <c r="U10" s="6">
        <f>50+17</f>
        <v>67</v>
      </c>
      <c r="V10" s="6">
        <f>8+0</f>
        <v>8</v>
      </c>
      <c r="W10" s="6">
        <f>5+0</f>
        <v>5</v>
      </c>
      <c r="X10" s="6">
        <f>577+74</f>
        <v>651</v>
      </c>
      <c r="Y10" s="6">
        <v>10</v>
      </c>
      <c r="Z10" s="6">
        <f>136+111+627+108</f>
        <v>982</v>
      </c>
      <c r="AA10" s="7">
        <f>35+2</f>
        <v>37</v>
      </c>
      <c r="AB10" s="6">
        <v>2</v>
      </c>
      <c r="AC10" s="20">
        <f t="shared" si="1"/>
        <v>2077</v>
      </c>
      <c r="AD10" s="21">
        <v>3370</v>
      </c>
      <c r="AE10" s="23">
        <v>0.27957524473203915</v>
      </c>
    </row>
    <row r="11" spans="1:31" ht="12.75">
      <c r="A11" s="8" t="s">
        <v>28</v>
      </c>
      <c r="B11" s="6">
        <v>0</v>
      </c>
      <c r="C11" s="6">
        <f>2+0</f>
        <v>2</v>
      </c>
      <c r="D11" s="6">
        <v>0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f>12+1</f>
        <v>13</v>
      </c>
      <c r="K11" s="6">
        <v>0</v>
      </c>
      <c r="L11" s="6">
        <f>19+4+2+5</f>
        <v>30</v>
      </c>
      <c r="M11" s="6">
        <v>0</v>
      </c>
      <c r="N11" s="6">
        <v>0</v>
      </c>
      <c r="O11" s="20">
        <f t="shared" si="0"/>
        <v>48</v>
      </c>
      <c r="P11" s="6">
        <v>1</v>
      </c>
      <c r="Q11" s="6">
        <f>6+1</f>
        <v>7</v>
      </c>
      <c r="R11" s="6">
        <v>0</v>
      </c>
      <c r="S11" s="6">
        <v>0</v>
      </c>
      <c r="T11" s="6">
        <f>2+1</f>
        <v>3</v>
      </c>
      <c r="U11" s="6">
        <f>10+4</f>
        <v>14</v>
      </c>
      <c r="V11" s="6">
        <v>0</v>
      </c>
      <c r="W11" s="6">
        <v>0</v>
      </c>
      <c r="X11" s="6">
        <f>48+12</f>
        <v>60</v>
      </c>
      <c r="Y11" s="6">
        <v>1</v>
      </c>
      <c r="Z11" s="6">
        <f>2+1+7+4</f>
        <v>14</v>
      </c>
      <c r="AA11" s="7">
        <f>1+0</f>
        <v>1</v>
      </c>
      <c r="AB11" s="6">
        <v>0</v>
      </c>
      <c r="AC11" s="20">
        <f t="shared" si="1"/>
        <v>101</v>
      </c>
      <c r="AD11" s="21">
        <v>149</v>
      </c>
      <c r="AE11" s="23">
        <v>0.012361041977766716</v>
      </c>
    </row>
    <row r="12" spans="1:31" ht="12.75">
      <c r="A12" s="8" t="s">
        <v>29</v>
      </c>
      <c r="B12" s="6">
        <v>0</v>
      </c>
      <c r="C12" s="6">
        <f>0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f>7+0</f>
        <v>7</v>
      </c>
      <c r="K12" s="6">
        <v>0</v>
      </c>
      <c r="L12" s="6">
        <f>0+0+1+0</f>
        <v>1</v>
      </c>
      <c r="M12" s="6">
        <v>0</v>
      </c>
      <c r="N12" s="6">
        <v>0</v>
      </c>
      <c r="O12" s="20">
        <f t="shared" si="0"/>
        <v>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f>1+0</f>
        <v>1</v>
      </c>
      <c r="V12" s="6">
        <v>0</v>
      </c>
      <c r="W12" s="6">
        <v>0</v>
      </c>
      <c r="X12" s="6">
        <f>2+0</f>
        <v>2</v>
      </c>
      <c r="Y12" s="6">
        <v>0</v>
      </c>
      <c r="Z12" s="6">
        <f>0+0+0+2</f>
        <v>2</v>
      </c>
      <c r="AA12" s="7">
        <v>0</v>
      </c>
      <c r="AB12" s="6">
        <v>0</v>
      </c>
      <c r="AC12" s="20">
        <f t="shared" si="1"/>
        <v>5</v>
      </c>
      <c r="AD12" s="21">
        <v>13</v>
      </c>
      <c r="AE12" s="23">
        <v>0.0010784801725568277</v>
      </c>
    </row>
    <row r="13" spans="1:31" ht="12.75">
      <c r="A13" s="8" t="s">
        <v>30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>13+0</f>
        <v>13</v>
      </c>
      <c r="K13" s="6">
        <v>1</v>
      </c>
      <c r="L13" s="6">
        <f>0+0+2+3</f>
        <v>5</v>
      </c>
      <c r="M13" s="6">
        <v>1</v>
      </c>
      <c r="N13" s="6">
        <v>0</v>
      </c>
      <c r="O13" s="20">
        <f t="shared" si="0"/>
        <v>20</v>
      </c>
      <c r="P13" s="6">
        <v>3</v>
      </c>
      <c r="Q13" s="6">
        <v>12</v>
      </c>
      <c r="R13" s="6">
        <v>1</v>
      </c>
      <c r="S13" s="6">
        <v>4</v>
      </c>
      <c r="T13" s="6">
        <f>5+0</f>
        <v>5</v>
      </c>
      <c r="U13" s="6">
        <f>2+0</f>
        <v>2</v>
      </c>
      <c r="V13" s="6">
        <v>3</v>
      </c>
      <c r="W13" s="6">
        <v>0</v>
      </c>
      <c r="X13" s="6">
        <f>99+0</f>
        <v>99</v>
      </c>
      <c r="Y13" s="6">
        <v>2</v>
      </c>
      <c r="Z13" s="6">
        <f>3+1+29+8</f>
        <v>41</v>
      </c>
      <c r="AA13" s="7">
        <f>1+0</f>
        <v>1</v>
      </c>
      <c r="AB13" s="6">
        <v>0</v>
      </c>
      <c r="AC13" s="20">
        <f t="shared" si="1"/>
        <v>173</v>
      </c>
      <c r="AD13" s="21">
        <v>193</v>
      </c>
      <c r="AE13" s="23">
        <v>0.016011282561805208</v>
      </c>
    </row>
    <row r="14" spans="1:31" ht="12.75">
      <c r="A14" s="8" t="s">
        <v>31</v>
      </c>
      <c r="B14" s="6">
        <v>66</v>
      </c>
      <c r="C14" s="6">
        <f>33+4</f>
        <v>37</v>
      </c>
      <c r="D14" s="6">
        <v>4</v>
      </c>
      <c r="E14" s="6">
        <v>6</v>
      </c>
      <c r="F14" s="6">
        <v>41</v>
      </c>
      <c r="G14" s="6">
        <v>13</v>
      </c>
      <c r="H14" s="6">
        <v>22</v>
      </c>
      <c r="I14" s="6">
        <v>1</v>
      </c>
      <c r="J14" s="6">
        <f>255+5</f>
        <v>260</v>
      </c>
      <c r="K14" s="6">
        <v>1</v>
      </c>
      <c r="L14" s="6">
        <f>36+26+84+49</f>
        <v>195</v>
      </c>
      <c r="M14" s="6">
        <v>10</v>
      </c>
      <c r="N14" s="6">
        <v>1</v>
      </c>
      <c r="O14" s="20">
        <f t="shared" si="0"/>
        <v>657</v>
      </c>
      <c r="P14" s="6">
        <v>1</v>
      </c>
      <c r="Q14" s="6">
        <v>18</v>
      </c>
      <c r="R14" s="6">
        <v>0</v>
      </c>
      <c r="S14" s="6">
        <v>0</v>
      </c>
      <c r="T14" s="6">
        <f>3+0</f>
        <v>3</v>
      </c>
      <c r="U14" s="6">
        <f>1+0</f>
        <v>1</v>
      </c>
      <c r="V14" s="6">
        <v>7</v>
      </c>
      <c r="W14" s="6">
        <v>0</v>
      </c>
      <c r="X14" s="6">
        <f>146+1</f>
        <v>147</v>
      </c>
      <c r="Y14" s="6">
        <v>0</v>
      </c>
      <c r="Z14" s="6">
        <f>3+0+14+0</f>
        <v>17</v>
      </c>
      <c r="AA14" s="7">
        <v>0</v>
      </c>
      <c r="AB14" s="6">
        <v>0</v>
      </c>
      <c r="AC14" s="20">
        <f t="shared" si="1"/>
        <v>194</v>
      </c>
      <c r="AD14" s="21">
        <v>851</v>
      </c>
      <c r="AE14" s="23">
        <v>0.07059897129583541</v>
      </c>
    </row>
    <row r="15" spans="1:31" s="12" customFormat="1" ht="13.5" thickBot="1">
      <c r="A15" s="9" t="s">
        <v>32</v>
      </c>
      <c r="B15" s="10">
        <f aca="true" t="shared" si="2" ref="B15:N15">SUM(B4:B14)</f>
        <v>353</v>
      </c>
      <c r="C15" s="10">
        <f t="shared" si="2"/>
        <v>630</v>
      </c>
      <c r="D15" s="10">
        <f t="shared" si="2"/>
        <v>199</v>
      </c>
      <c r="E15" s="10">
        <f t="shared" si="2"/>
        <v>138</v>
      </c>
      <c r="F15" s="10">
        <f t="shared" si="2"/>
        <v>76</v>
      </c>
      <c r="G15" s="10">
        <f t="shared" si="2"/>
        <v>200</v>
      </c>
      <c r="H15" s="10">
        <f t="shared" si="2"/>
        <v>151</v>
      </c>
      <c r="I15" s="10">
        <f t="shared" si="2"/>
        <v>31</v>
      </c>
      <c r="J15" s="10">
        <f t="shared" si="2"/>
        <v>1950</v>
      </c>
      <c r="K15" s="10">
        <f t="shared" si="2"/>
        <v>19</v>
      </c>
      <c r="L15" s="10">
        <f t="shared" si="2"/>
        <v>2533</v>
      </c>
      <c r="M15" s="10">
        <f t="shared" si="2"/>
        <v>103</v>
      </c>
      <c r="N15" s="10">
        <f t="shared" si="2"/>
        <v>16</v>
      </c>
      <c r="O15" s="11">
        <f>SUM(O4:O14)</f>
        <v>6399</v>
      </c>
      <c r="P15" s="10">
        <f aca="true" t="shared" si="3" ref="P15:W15">SUM(P4:P14)</f>
        <v>296</v>
      </c>
      <c r="Q15" s="10">
        <f t="shared" si="3"/>
        <v>588</v>
      </c>
      <c r="R15" s="10">
        <f t="shared" si="3"/>
        <v>237</v>
      </c>
      <c r="S15" s="10">
        <f t="shared" si="3"/>
        <v>125</v>
      </c>
      <c r="T15" s="10">
        <f t="shared" si="3"/>
        <v>140</v>
      </c>
      <c r="U15" s="10">
        <f t="shared" si="3"/>
        <v>297</v>
      </c>
      <c r="V15" s="10">
        <f t="shared" si="3"/>
        <v>36</v>
      </c>
      <c r="W15" s="10">
        <f t="shared" si="3"/>
        <v>21</v>
      </c>
      <c r="X15" s="10">
        <f>SUM(X4:X14)</f>
        <v>2396</v>
      </c>
      <c r="Y15" s="10">
        <f>SUM(Y4:Y14)</f>
        <v>20</v>
      </c>
      <c r="Z15" s="10">
        <f>SUM(Z4:Z14)</f>
        <v>1356</v>
      </c>
      <c r="AA15" s="10">
        <f>SUM(AA4:AA14)</f>
        <v>125</v>
      </c>
      <c r="AB15" s="10">
        <f>SUM(AB4:AB14)</f>
        <v>18</v>
      </c>
      <c r="AC15" s="11">
        <f>SUM(P15:AB15)</f>
        <v>5655</v>
      </c>
      <c r="AD15" s="25" t="s">
        <v>36</v>
      </c>
      <c r="AE15" s="24">
        <v>1</v>
      </c>
    </row>
    <row r="17" spans="1:22" ht="12.75">
      <c r="A17" s="26"/>
      <c r="V17" s="13" t="s">
        <v>33</v>
      </c>
    </row>
    <row r="18" spans="1:22" ht="12.75">
      <c r="A18" s="26"/>
      <c r="V18" s="14" t="s">
        <v>34</v>
      </c>
    </row>
    <row r="19" ht="12.75">
      <c r="V19" s="14" t="s">
        <v>35</v>
      </c>
    </row>
  </sheetData>
  <printOptions/>
  <pageMargins left="0" right="0" top="1" bottom="1" header="0.5" footer="0.5"/>
  <pageSetup horizontalDpi="1200" verticalDpi="12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CFC-CAFC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njolstad-lalonde</dc:creator>
  <cp:keywords/>
  <dc:description/>
  <cp:lastModifiedBy>Chambre des communes</cp:lastModifiedBy>
  <cp:lastPrinted>2005-02-14T16:20:11Z</cp:lastPrinted>
  <dcterms:created xsi:type="dcterms:W3CDTF">2005-02-14T15:54:34Z</dcterms:created>
  <dcterms:modified xsi:type="dcterms:W3CDTF">2005-02-14T20:59:19Z</dcterms:modified>
  <cp:category/>
  <cp:version/>
  <cp:contentType/>
  <cp:contentStatus/>
</cp:coreProperties>
</file>